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Administrator\Desktop\回乡规划备案成果汇总\万名干部回乡 岩帅-黄果村-茸木朵协\"/>
    </mc:Choice>
  </mc:AlternateContent>
  <xr:revisionPtr revIDLastSave="0" documentId="13_ncr:1_{3CB10228-DAE0-4C8B-97C1-3E89521FF076}" xr6:coauthVersionLast="43" xr6:coauthVersionMax="43" xr10:uidLastSave="{00000000-0000-0000-0000-000000000000}"/>
  <bookViews>
    <workbookView xWindow="5790" yWindow="2535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7" i="1" l="1"/>
  <c r="E36" i="1"/>
  <c r="D35" i="1"/>
  <c r="D34" i="1"/>
  <c r="E34" i="1" s="1"/>
  <c r="D33" i="1"/>
  <c r="E33" i="1" s="1"/>
  <c r="D32" i="1"/>
  <c r="D31" i="1"/>
  <c r="D30" i="1"/>
  <c r="D28" i="1"/>
  <c r="D22" i="1"/>
  <c r="E22" i="1" s="1"/>
  <c r="D24" i="1"/>
  <c r="E24" i="1" s="1"/>
  <c r="D23" i="1"/>
  <c r="D15" i="1"/>
  <c r="O15" i="1"/>
  <c r="Q12" i="1"/>
  <c r="D12" i="1" s="1"/>
  <c r="E12" i="1" s="1"/>
  <c r="Q13" i="1"/>
  <c r="D13" i="1" s="1"/>
  <c r="E13" i="1" s="1"/>
  <c r="O32" i="1" l="1"/>
  <c r="Q11" i="1" l="1"/>
  <c r="D11" i="1" s="1"/>
  <c r="E11" i="1" s="1"/>
  <c r="Q9" i="1" l="1"/>
  <c r="D9" i="1" s="1"/>
  <c r="E9" i="1" s="1"/>
  <c r="Q8" i="1"/>
  <c r="D8" i="1" s="1"/>
  <c r="E8" i="1" s="1"/>
  <c r="Q10" i="1" l="1"/>
  <c r="D10" i="1" s="1"/>
  <c r="E10" i="1" s="1"/>
  <c r="Q7" i="1"/>
  <c r="D7" i="1" s="1"/>
  <c r="E7" i="1" s="1"/>
  <c r="O37" i="1" l="1"/>
  <c r="R39" i="1"/>
  <c r="E32" i="1"/>
  <c r="D16" i="1"/>
  <c r="D18" i="1"/>
  <c r="E35" i="1" l="1"/>
  <c r="E14" i="1" l="1"/>
  <c r="E31" i="1" l="1"/>
  <c r="E30" i="1"/>
  <c r="D29" i="1" l="1"/>
  <c r="E29" i="1"/>
  <c r="E28" i="1"/>
  <c r="E26" i="1"/>
  <c r="E27" i="1"/>
  <c r="E25" i="1"/>
  <c r="E23" i="1"/>
  <c r="O16" i="1" l="1"/>
  <c r="D17" i="1" l="1"/>
  <c r="O18" i="1" l="1"/>
  <c r="F29" i="1" l="1"/>
  <c r="O38" i="1"/>
  <c r="D38" i="1" s="1"/>
  <c r="Q15" i="1"/>
  <c r="E19" i="1" l="1"/>
  <c r="F16" i="1" l="1"/>
  <c r="E15" i="1"/>
  <c r="E21" i="1"/>
  <c r="E20" i="1"/>
  <c r="E37" i="1" l="1"/>
  <c r="O27" i="1"/>
  <c r="E17" i="1" l="1"/>
  <c r="E18" i="1"/>
  <c r="Q6" i="1"/>
  <c r="D6" i="1" s="1"/>
  <c r="D40" i="1" s="1"/>
  <c r="F38" i="1" l="1"/>
  <c r="F40" i="1" s="1"/>
  <c r="E6" i="1" l="1"/>
  <c r="E40" i="1" s="1"/>
</calcChain>
</file>

<file path=xl/sharedStrings.xml><?xml version="1.0" encoding="utf-8"?>
<sst xmlns="http://schemas.openxmlformats.org/spreadsheetml/2006/main" count="128" uniqueCount="66">
  <si>
    <t xml:space="preserve">                                                  建设内容</t>
  </si>
  <si>
    <t>实施年限</t>
  </si>
  <si>
    <t>投资规模（万元）</t>
  </si>
  <si>
    <t>实施主体</t>
  </si>
  <si>
    <t>总计</t>
  </si>
  <si>
    <t>上级</t>
  </si>
  <si>
    <t>群众</t>
  </si>
  <si>
    <t>补助</t>
  </si>
  <si>
    <t>自筹</t>
  </si>
  <si>
    <t>乡村振兴理事会</t>
  </si>
  <si>
    <t>2022-2035</t>
  </si>
  <si>
    <t>民居建设</t>
    <phoneticPr fontId="5" type="noConversion"/>
  </si>
  <si>
    <t>亮化工程</t>
    <phoneticPr fontId="5" type="noConversion"/>
  </si>
  <si>
    <t>环卫设施</t>
    <phoneticPr fontId="5" type="noConversion"/>
  </si>
  <si>
    <t>产业发展</t>
    <phoneticPr fontId="5" type="noConversion"/>
  </si>
  <si>
    <t>美化绿化</t>
    <phoneticPr fontId="5" type="noConversion"/>
  </si>
  <si>
    <t>用地规划</t>
    <phoneticPr fontId="5" type="noConversion"/>
  </si>
  <si>
    <t>供水工程</t>
    <phoneticPr fontId="5" type="noConversion"/>
  </si>
  <si>
    <t>2019-2022</t>
  </si>
  <si>
    <t>道路交通</t>
    <phoneticPr fontId="5" type="noConversion"/>
  </si>
  <si>
    <t>面积</t>
    <phoneticPr fontId="5" type="noConversion"/>
  </si>
  <si>
    <t>单价</t>
    <phoneticPr fontId="5" type="noConversion"/>
  </si>
  <si>
    <t>县人民政府</t>
    <phoneticPr fontId="5" type="noConversion"/>
  </si>
  <si>
    <t>2023-2035</t>
  </si>
  <si>
    <t>消防工程</t>
    <phoneticPr fontId="5" type="noConversion"/>
  </si>
  <si>
    <t>排水工程及污水处理设施</t>
    <phoneticPr fontId="5" type="noConversion"/>
  </si>
  <si>
    <t>户数</t>
    <phoneticPr fontId="5" type="noConversion"/>
  </si>
  <si>
    <t>新建生态氧化池1座，占地面积30平方米，计划投资30万元（含土地补偿费）。</t>
    <phoneticPr fontId="5" type="noConversion"/>
  </si>
  <si>
    <t>长度</t>
    <phoneticPr fontId="5" type="noConversion"/>
  </si>
  <si>
    <t>宽度</t>
    <phoneticPr fontId="5" type="noConversion"/>
  </si>
  <si>
    <t>实施人畜饮水工程1处，新建压力蓄水池150m³，概算投资15万元。</t>
    <phoneticPr fontId="5" type="noConversion"/>
  </si>
  <si>
    <t>实施消防水池建设工程，建设消防水池1座，水池容量为200m³，概算投资为15万元。</t>
    <phoneticPr fontId="5" type="noConversion"/>
  </si>
  <si>
    <t>新建排污支管，总计长500m，直径15cm，投资单价120元/m，概算投资6万元</t>
    <phoneticPr fontId="5" type="noConversion"/>
  </si>
  <si>
    <t>实施建设室外消火栓4个，投资单价3000元/个，概算投资1.2万元。</t>
    <phoneticPr fontId="5" type="noConversion"/>
  </si>
  <si>
    <t xml:space="preserve"> 划定村庄建设边界，规划村庄集中建设区无预留发展用地。</t>
    <phoneticPr fontId="5" type="noConversion"/>
  </si>
  <si>
    <t>实施入户支管建设，管长0.6km，概算投资3万元。</t>
    <phoneticPr fontId="5" type="noConversion"/>
  </si>
  <si>
    <t>公共空间</t>
    <phoneticPr fontId="5" type="noConversion"/>
  </si>
  <si>
    <t>1#道路，混凝土硬化，长120m，宽度3.5m，厚度20cm，面积420平方米，投资单价200元/平方米，概算投资8.4万元。</t>
    <phoneticPr fontId="5" type="noConversion"/>
  </si>
  <si>
    <t>2#道路，混凝土硬化，长320m，宽度3.5m，厚度20cm，面积1120平方米，投资单价200元/平方米，概算投资16.8万元。</t>
    <phoneticPr fontId="5" type="noConversion"/>
  </si>
  <si>
    <t>3#入户路，混凝土硬化，长270m，宽度3m，厚度15cm，面积810平方米，投资单价150元/平方米，概算投资12.15万元。</t>
    <phoneticPr fontId="5" type="noConversion"/>
  </si>
  <si>
    <t>4#入户路，混凝土硬化，长220m，宽度3m，厚度15cm，面积660平方米，投资单价150元/平方米，概算投资9.9万元。</t>
    <phoneticPr fontId="5" type="noConversion"/>
  </si>
  <si>
    <t>5#道路，混凝土硬化，长50m，宽度3.5m，厚度20cm，面积175平方米，投资单价150元/平方米，概算投资2.63万元。</t>
    <phoneticPr fontId="5" type="noConversion"/>
  </si>
  <si>
    <t>6#入户路，混凝土硬化，长80m，宽度3m，厚度15cm，面积240平方米，投资单价150元/平方米，概算投资3.6万元。</t>
    <phoneticPr fontId="5" type="noConversion"/>
  </si>
  <si>
    <t>7#入户路，混凝土硬化，长210m，宽度3m，厚度15cm，面积630平方米，投资单价150元/平方米，概算投资9.45万元。</t>
    <phoneticPr fontId="5" type="noConversion"/>
  </si>
  <si>
    <t>8#道路，混凝土硬化，长150m，宽度3.5m，厚度20cm，面积525平方米，投资单价200元/平方米，概算投资10.5万元。</t>
    <phoneticPr fontId="5" type="noConversion"/>
  </si>
  <si>
    <t>架设100mm供水主管道长2700km，概算投资50万元。</t>
    <phoneticPr fontId="5" type="noConversion"/>
  </si>
  <si>
    <t>停车场，位于村庄西南部硬化面积400㎡，投资单价200元/平方米，概算投资8万元</t>
    <phoneticPr fontId="5" type="noConversion"/>
  </si>
  <si>
    <t>新建活动室项目，位于村庄中部，面积108㎡，投资单价2000元/平方米，概算投资21.6万元。</t>
    <phoneticPr fontId="5" type="noConversion"/>
  </si>
  <si>
    <t>球场改建项目，位于村庄中部面积500㎡，投资单价150元/平方米，概算投资7.5元</t>
    <phoneticPr fontId="5" type="noConversion"/>
  </si>
  <si>
    <t>自然村规划安装95盏太阳能路灯</t>
    <phoneticPr fontId="5" type="noConversion"/>
  </si>
  <si>
    <t>实施58户民居房屋外包装，突出佤族风格和文化元素，投资单价25000元/户，概算总投资145万元；</t>
    <phoneticPr fontId="5" type="noConversion"/>
  </si>
  <si>
    <t>规划实施甘蔗种植区建设项目，实施规模400亩，施用有机肥，投资单价1300元/亩，概算投资52万元</t>
    <phoneticPr fontId="5" type="noConversion"/>
  </si>
  <si>
    <t>规划实施坚果种植区建设项目，实施规模700亩，施用有机肥，投资单价1500元/亩，概算投资105万元</t>
    <phoneticPr fontId="5" type="noConversion"/>
  </si>
  <si>
    <t>规划实施茶叶种植区建设项目，实施规模600亩，施用有机肥，投资单价2000元/亩，概算投资120万元</t>
    <phoneticPr fontId="5" type="noConversion"/>
  </si>
  <si>
    <t>规划实施水稻种植区建设项目，实施规模300亩，施用有机肥，投资单价1300元/亩，概算投资39万元</t>
    <phoneticPr fontId="5" type="noConversion"/>
  </si>
  <si>
    <t>规划实施玉米种植区建设项目，实施规模450亩，施用有机肥，投资单价1000元/亩，概算投资45万元</t>
    <phoneticPr fontId="5" type="noConversion"/>
  </si>
  <si>
    <t>规划实施产业路建设项目8公里，投资单价30万元/公里，概算投资240万元</t>
    <phoneticPr fontId="5" type="noConversion"/>
  </si>
  <si>
    <t>规划实施养殖小区，集中建设1个，投资50万</t>
    <phoneticPr fontId="5" type="noConversion"/>
  </si>
  <si>
    <t>实施庭院绿化美化工程，每户农户5棵，累计种植290棵，成活1棵补助180元，概算投资5.8万元</t>
    <phoneticPr fontId="5" type="noConversion"/>
  </si>
  <si>
    <t>实施进村入户主干道绿化工程，以三角梅及本地树种交叉间种方式实施绿化，共需种植750棵，补助1000元/棵，概算投资75万元</t>
    <phoneticPr fontId="5" type="noConversion"/>
  </si>
  <si>
    <r>
      <t>全村建设排水沟，全长</t>
    </r>
    <r>
      <rPr>
        <sz val="12"/>
        <color theme="1"/>
        <rFont val="Calibri"/>
        <family val="2"/>
      </rPr>
      <t>22</t>
    </r>
    <r>
      <rPr>
        <sz val="12"/>
        <color theme="1"/>
        <rFont val="宋体"/>
        <family val="3"/>
        <charset val="134"/>
      </rPr>
      <t>00</t>
    </r>
    <r>
      <rPr>
        <sz val="12"/>
        <color theme="1"/>
        <rFont val="Calibri"/>
        <family val="2"/>
      </rPr>
      <t>m</t>
    </r>
    <r>
      <rPr>
        <sz val="12"/>
        <color theme="1"/>
        <rFont val="宋体"/>
        <family val="3"/>
        <charset val="134"/>
      </rPr>
      <t>，设计标准管径</t>
    </r>
    <r>
      <rPr>
        <sz val="12"/>
        <color theme="1"/>
        <rFont val="Calibri"/>
        <family val="2"/>
      </rPr>
      <t>300mm</t>
    </r>
    <r>
      <rPr>
        <sz val="12"/>
        <color theme="1"/>
        <rFont val="宋体"/>
        <family val="3"/>
        <charset val="134"/>
      </rPr>
      <t>，每</t>
    </r>
    <r>
      <rPr>
        <sz val="12"/>
        <color theme="1"/>
        <rFont val="Calibri"/>
        <family val="2"/>
      </rPr>
      <t>25</t>
    </r>
    <r>
      <rPr>
        <sz val="12"/>
        <color theme="1"/>
        <rFont val="宋体"/>
        <family val="3"/>
        <charset val="134"/>
      </rPr>
      <t>米设置</t>
    </r>
    <r>
      <rPr>
        <sz val="12"/>
        <color theme="1"/>
        <rFont val="Calibri"/>
        <family val="2"/>
      </rPr>
      <t>1</t>
    </r>
    <r>
      <rPr>
        <sz val="12"/>
        <color theme="1"/>
        <rFont val="宋体"/>
        <family val="3"/>
        <charset val="134"/>
      </rPr>
      <t>个检查井，投资单价</t>
    </r>
    <r>
      <rPr>
        <sz val="12"/>
        <color theme="1"/>
        <rFont val="Calibri"/>
        <family val="2"/>
      </rPr>
      <t>360</t>
    </r>
    <r>
      <rPr>
        <sz val="12"/>
        <color theme="1"/>
        <rFont val="宋体"/>
        <family val="3"/>
        <charset val="134"/>
      </rPr>
      <t>元</t>
    </r>
    <r>
      <rPr>
        <sz val="12"/>
        <color theme="1"/>
        <rFont val="Calibri"/>
        <family val="2"/>
      </rPr>
      <t>/m</t>
    </r>
    <r>
      <rPr>
        <sz val="12"/>
        <color theme="1"/>
        <rFont val="宋体"/>
        <family val="3"/>
        <charset val="134"/>
      </rPr>
      <t>（含检查井），概算投资</t>
    </r>
    <r>
      <rPr>
        <sz val="12"/>
        <color theme="1"/>
        <rFont val="Calibri"/>
        <family val="2"/>
      </rPr>
      <t>79.2</t>
    </r>
    <r>
      <rPr>
        <sz val="12"/>
        <color theme="1"/>
        <rFont val="宋体"/>
        <family val="3"/>
        <charset val="134"/>
      </rPr>
      <t>万元</t>
    </r>
    <phoneticPr fontId="5" type="noConversion"/>
  </si>
  <si>
    <r>
      <t>规划建设</t>
    </r>
    <r>
      <rPr>
        <sz val="12"/>
        <color theme="1"/>
        <rFont val="Calibri"/>
        <family val="2"/>
      </rPr>
      <t>6</t>
    </r>
    <r>
      <rPr>
        <sz val="12"/>
        <color theme="1"/>
        <rFont val="宋体"/>
        <family val="3"/>
        <charset val="134"/>
      </rPr>
      <t>个垃圾箱（分类装卸式），投资单价</t>
    </r>
    <r>
      <rPr>
        <sz val="12"/>
        <color theme="1"/>
        <rFont val="Calibri"/>
        <family val="2"/>
      </rPr>
      <t>10000</t>
    </r>
    <r>
      <rPr>
        <sz val="12"/>
        <color theme="1"/>
        <rFont val="宋体"/>
        <family val="3"/>
        <charset val="134"/>
      </rPr>
      <t>元</t>
    </r>
    <r>
      <rPr>
        <sz val="12"/>
        <color theme="1"/>
        <rFont val="Calibri"/>
        <family val="2"/>
      </rPr>
      <t>/</t>
    </r>
    <r>
      <rPr>
        <sz val="12"/>
        <color theme="1"/>
        <rFont val="宋体"/>
        <family val="3"/>
        <charset val="134"/>
      </rPr>
      <t>个，估算总投资</t>
    </r>
    <r>
      <rPr>
        <sz val="12"/>
        <color theme="1"/>
        <rFont val="Calibri"/>
        <family val="2"/>
      </rPr>
      <t>4</t>
    </r>
    <r>
      <rPr>
        <sz val="12"/>
        <color theme="1"/>
        <rFont val="宋体"/>
        <family val="3"/>
        <charset val="134"/>
      </rPr>
      <t>万元</t>
    </r>
    <phoneticPr fontId="5" type="noConversion"/>
  </si>
  <si>
    <r>
      <t>规划新建</t>
    </r>
    <r>
      <rPr>
        <sz val="12"/>
        <color theme="1"/>
        <rFont val="Calibri"/>
        <family val="2"/>
      </rPr>
      <t>4</t>
    </r>
    <r>
      <rPr>
        <sz val="12"/>
        <color theme="1"/>
        <rFont val="宋体"/>
        <family val="3"/>
        <charset val="134"/>
      </rPr>
      <t>个公厕，投资单价</t>
    </r>
    <r>
      <rPr>
        <sz val="12"/>
        <color theme="1"/>
        <rFont val="Calibri"/>
        <family val="2"/>
      </rPr>
      <t>80000</t>
    </r>
    <r>
      <rPr>
        <sz val="12"/>
        <color theme="1"/>
        <rFont val="宋体"/>
        <family val="3"/>
        <charset val="134"/>
      </rPr>
      <t>元</t>
    </r>
    <r>
      <rPr>
        <sz val="12"/>
        <color theme="1"/>
        <rFont val="Calibri"/>
        <family val="2"/>
      </rPr>
      <t>/</t>
    </r>
    <r>
      <rPr>
        <sz val="12"/>
        <color theme="1"/>
        <rFont val="宋体"/>
        <family val="3"/>
        <charset val="134"/>
      </rPr>
      <t>座，估算总投资</t>
    </r>
    <r>
      <rPr>
        <sz val="12"/>
        <color theme="1"/>
        <rFont val="Calibri"/>
        <family val="2"/>
      </rPr>
      <t>16</t>
    </r>
    <r>
      <rPr>
        <sz val="12"/>
        <color theme="1"/>
        <rFont val="宋体"/>
        <family val="3"/>
        <charset val="134"/>
      </rPr>
      <t>万元</t>
    </r>
    <phoneticPr fontId="5" type="noConversion"/>
  </si>
  <si>
    <r>
      <t>规划改造</t>
    </r>
    <r>
      <rPr>
        <sz val="12"/>
        <color theme="1"/>
        <rFont val="Calibri"/>
        <family val="2"/>
      </rPr>
      <t>1</t>
    </r>
    <r>
      <rPr>
        <sz val="12"/>
        <color theme="1"/>
        <rFont val="宋体"/>
        <family val="3"/>
        <charset val="134"/>
      </rPr>
      <t>个公厕，投资单价</t>
    </r>
    <r>
      <rPr>
        <sz val="12"/>
        <color theme="1"/>
        <rFont val="Calibri"/>
        <family val="2"/>
      </rPr>
      <t>40000</t>
    </r>
    <r>
      <rPr>
        <sz val="12"/>
        <color theme="1"/>
        <rFont val="宋体"/>
        <family val="3"/>
        <charset val="134"/>
      </rPr>
      <t>元</t>
    </r>
    <r>
      <rPr>
        <sz val="12"/>
        <color theme="1"/>
        <rFont val="Calibri"/>
        <family val="2"/>
      </rPr>
      <t>/</t>
    </r>
    <r>
      <rPr>
        <sz val="12"/>
        <color theme="1"/>
        <rFont val="宋体"/>
        <family val="3"/>
        <charset val="134"/>
      </rPr>
      <t>座，估算总投资</t>
    </r>
    <r>
      <rPr>
        <sz val="12"/>
        <color theme="1"/>
        <rFont val="Calibri"/>
        <family val="2"/>
      </rPr>
      <t>8</t>
    </r>
    <r>
      <rPr>
        <sz val="12"/>
        <color theme="1"/>
        <rFont val="宋体"/>
        <family val="3"/>
        <charset val="134"/>
      </rPr>
      <t>万元</t>
    </r>
    <phoneticPr fontId="5" type="noConversion"/>
  </si>
  <si>
    <t>沧源佤族自治县岩帅镇黄果村茸木夺协村域规划项目建设统计表</t>
    <phoneticPr fontId="5" type="noConversion"/>
  </si>
  <si>
    <t>镇（乡）人民政府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</si>
</sst>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12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2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Calibri"/>
      <family val="2"/>
    </font>
    <font>
      <sz val="12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6" fillId="4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0"/>
  <sheetViews>
    <sheetView tabSelected="1" zoomScale="74" zoomScaleNormal="74" workbookViewId="0">
      <pane ySplit="5" topLeftCell="A6" activePane="bottomLeft" state="frozenSplit"/>
      <selection pane="bottomLeft" activeCell="G6" sqref="G6"/>
    </sheetView>
  </sheetViews>
  <sheetFormatPr defaultColWidth="9" defaultRowHeight="14.25" x14ac:dyDescent="0.15"/>
  <cols>
    <col min="1" max="1" width="7" style="1" customWidth="1"/>
    <col min="2" max="2" width="44.625" style="3" customWidth="1"/>
    <col min="3" max="3" width="16.5" style="1" customWidth="1"/>
    <col min="4" max="4" width="11.5" style="1" customWidth="1"/>
    <col min="5" max="5" width="13.5" style="1" customWidth="1"/>
    <col min="6" max="6" width="11.5" style="1" customWidth="1"/>
    <col min="7" max="14" width="20.25" style="1" customWidth="1"/>
  </cols>
  <sheetData>
    <row r="1" spans="1:19" ht="27.75" customHeight="1" x14ac:dyDescent="0.15">
      <c r="A1" s="22" t="s">
        <v>64</v>
      </c>
      <c r="B1" s="23"/>
      <c r="C1" s="23"/>
      <c r="D1" s="23"/>
      <c r="E1" s="23"/>
      <c r="F1" s="23"/>
      <c r="G1" s="24"/>
      <c r="H1" s="8"/>
      <c r="I1" s="8"/>
      <c r="J1" s="8"/>
      <c r="K1" s="8"/>
      <c r="L1" s="8"/>
      <c r="M1" s="8"/>
      <c r="N1" s="8"/>
    </row>
    <row r="2" spans="1:19" ht="36.75" customHeight="1" x14ac:dyDescent="0.15">
      <c r="A2" s="25"/>
      <c r="B2" s="26"/>
      <c r="C2" s="26"/>
      <c r="D2" s="26"/>
      <c r="E2" s="26"/>
      <c r="F2" s="26"/>
      <c r="G2" s="27"/>
      <c r="O2" s="5" t="s">
        <v>26</v>
      </c>
      <c r="P2" s="5">
        <v>58</v>
      </c>
      <c r="Q2" s="2"/>
      <c r="R2" s="2"/>
      <c r="S2" s="2"/>
    </row>
    <row r="3" spans="1:19" x14ac:dyDescent="0.15">
      <c r="A3" s="21" t="s">
        <v>0</v>
      </c>
      <c r="B3" s="21"/>
      <c r="C3" s="21" t="s">
        <v>1</v>
      </c>
      <c r="D3" s="21" t="s">
        <v>2</v>
      </c>
      <c r="E3" s="21"/>
      <c r="F3" s="21"/>
      <c r="G3" s="21" t="s">
        <v>3</v>
      </c>
      <c r="H3" s="9"/>
      <c r="I3" s="9"/>
      <c r="J3" s="9"/>
      <c r="K3" s="9"/>
      <c r="L3" s="9"/>
      <c r="M3" s="9"/>
      <c r="N3" s="9"/>
      <c r="S3" s="2"/>
    </row>
    <row r="4" spans="1:19" x14ac:dyDescent="0.15">
      <c r="A4" s="21"/>
      <c r="B4" s="21"/>
      <c r="C4" s="21"/>
      <c r="D4" s="21" t="s">
        <v>4</v>
      </c>
      <c r="E4" s="14" t="s">
        <v>5</v>
      </c>
      <c r="F4" s="14" t="s">
        <v>6</v>
      </c>
      <c r="G4" s="21"/>
      <c r="H4" s="9"/>
      <c r="I4" s="9"/>
      <c r="J4" s="9"/>
      <c r="K4" s="9"/>
      <c r="L4" s="9"/>
      <c r="M4" s="9"/>
      <c r="N4" s="9"/>
      <c r="S4" s="2"/>
    </row>
    <row r="5" spans="1:19" x14ac:dyDescent="0.15">
      <c r="A5" s="21"/>
      <c r="B5" s="21"/>
      <c r="C5" s="21"/>
      <c r="D5" s="21"/>
      <c r="E5" s="14" t="s">
        <v>7</v>
      </c>
      <c r="F5" s="14" t="s">
        <v>8</v>
      </c>
      <c r="G5" s="21"/>
      <c r="H5" s="9"/>
      <c r="I5" s="9"/>
      <c r="J5" s="9"/>
      <c r="K5" s="9"/>
      <c r="L5" s="9"/>
      <c r="M5" s="9"/>
      <c r="N5" s="9"/>
      <c r="O5" s="2" t="s">
        <v>28</v>
      </c>
      <c r="P5" s="2" t="s">
        <v>29</v>
      </c>
      <c r="Q5" s="2" t="s">
        <v>20</v>
      </c>
      <c r="R5" s="2" t="s">
        <v>21</v>
      </c>
      <c r="S5" s="2"/>
    </row>
    <row r="6" spans="1:19" ht="42.75" x14ac:dyDescent="0.15">
      <c r="A6" s="28" t="s">
        <v>19</v>
      </c>
      <c r="B6" s="12" t="s">
        <v>37</v>
      </c>
      <c r="C6" s="16" t="s">
        <v>23</v>
      </c>
      <c r="D6" s="16">
        <f>Q6*R6/10000</f>
        <v>8.4</v>
      </c>
      <c r="E6" s="16">
        <f t="shared" ref="E6:E15" si="0">D6</f>
        <v>8.4</v>
      </c>
      <c r="F6" s="16"/>
      <c r="G6" s="16" t="s">
        <v>65</v>
      </c>
      <c r="H6" s="6"/>
      <c r="I6" s="6"/>
      <c r="J6" s="6"/>
      <c r="K6" s="6"/>
      <c r="L6" s="6"/>
      <c r="M6" s="6"/>
      <c r="N6" s="6"/>
      <c r="O6" s="2">
        <v>120</v>
      </c>
      <c r="P6" s="2">
        <v>3.5</v>
      </c>
      <c r="Q6" s="2">
        <f t="shared" ref="Q6" si="1">O6*P6</f>
        <v>420</v>
      </c>
      <c r="R6" s="2">
        <v>200</v>
      </c>
      <c r="S6" s="2"/>
    </row>
    <row r="7" spans="1:19" ht="42.75" x14ac:dyDescent="0.15">
      <c r="A7" s="29"/>
      <c r="B7" s="12" t="s">
        <v>38</v>
      </c>
      <c r="C7" s="16" t="s">
        <v>23</v>
      </c>
      <c r="D7" s="16">
        <f>Q7*R7/10000</f>
        <v>16.8</v>
      </c>
      <c r="E7" s="16">
        <f t="shared" si="0"/>
        <v>16.8</v>
      </c>
      <c r="F7" s="16"/>
      <c r="G7" s="16" t="s">
        <v>65</v>
      </c>
      <c r="H7" s="6"/>
      <c r="I7" s="6"/>
      <c r="J7" s="6"/>
      <c r="K7" s="6"/>
      <c r="L7" s="6"/>
      <c r="M7" s="6"/>
      <c r="N7" s="6"/>
      <c r="O7" s="2">
        <v>320</v>
      </c>
      <c r="P7" s="2">
        <v>3.5</v>
      </c>
      <c r="Q7" s="2">
        <f t="shared" ref="Q7:Q11" si="2">O7*P7</f>
        <v>1120</v>
      </c>
      <c r="R7" s="2">
        <v>150</v>
      </c>
      <c r="S7" s="2"/>
    </row>
    <row r="8" spans="1:19" ht="42.75" x14ac:dyDescent="0.15">
      <c r="A8" s="29"/>
      <c r="B8" s="12" t="s">
        <v>39</v>
      </c>
      <c r="C8" s="16" t="s">
        <v>23</v>
      </c>
      <c r="D8" s="16">
        <f>Q8*R8/10000</f>
        <v>12.15</v>
      </c>
      <c r="E8" s="16">
        <f t="shared" si="0"/>
        <v>12.15</v>
      </c>
      <c r="F8" s="16"/>
      <c r="G8" s="16" t="s">
        <v>65</v>
      </c>
      <c r="H8" s="6"/>
      <c r="I8" s="6"/>
      <c r="J8" s="6"/>
      <c r="K8" s="6"/>
      <c r="L8" s="6"/>
      <c r="M8" s="6"/>
      <c r="N8" s="6"/>
      <c r="O8" s="2">
        <v>270</v>
      </c>
      <c r="P8" s="2">
        <v>3</v>
      </c>
      <c r="Q8" s="2">
        <f t="shared" ref="Q8:Q9" si="3">O8*P8</f>
        <v>810</v>
      </c>
      <c r="R8" s="2">
        <v>150</v>
      </c>
      <c r="S8" s="2"/>
    </row>
    <row r="9" spans="1:19" ht="42.75" x14ac:dyDescent="0.15">
      <c r="A9" s="29"/>
      <c r="B9" s="12" t="s">
        <v>40</v>
      </c>
      <c r="C9" s="16" t="s">
        <v>23</v>
      </c>
      <c r="D9" s="16">
        <f>Q9*R9/10000</f>
        <v>9.9</v>
      </c>
      <c r="E9" s="16">
        <f t="shared" si="0"/>
        <v>9.9</v>
      </c>
      <c r="F9" s="16"/>
      <c r="G9" s="16" t="s">
        <v>65</v>
      </c>
      <c r="H9" s="6"/>
      <c r="I9" s="6"/>
      <c r="J9" s="6"/>
      <c r="K9" s="6"/>
      <c r="L9" s="6"/>
      <c r="M9" s="6"/>
      <c r="N9" s="6"/>
      <c r="O9" s="2">
        <v>220</v>
      </c>
      <c r="P9" s="2">
        <v>3</v>
      </c>
      <c r="Q9" s="2">
        <f t="shared" si="3"/>
        <v>660</v>
      </c>
      <c r="R9" s="2">
        <v>150</v>
      </c>
      <c r="S9" s="2"/>
    </row>
    <row r="10" spans="1:19" ht="42.75" x14ac:dyDescent="0.15">
      <c r="A10" s="29"/>
      <c r="B10" s="12" t="s">
        <v>41</v>
      </c>
      <c r="C10" s="16" t="s">
        <v>23</v>
      </c>
      <c r="D10" s="17">
        <f>Q10*R10/10000</f>
        <v>2.625</v>
      </c>
      <c r="E10" s="17">
        <f t="shared" si="0"/>
        <v>2.625</v>
      </c>
      <c r="F10" s="16"/>
      <c r="G10" s="16" t="s">
        <v>65</v>
      </c>
      <c r="H10" s="6"/>
      <c r="I10" s="6"/>
      <c r="J10" s="6"/>
      <c r="K10" s="6"/>
      <c r="L10" s="6"/>
      <c r="M10" s="6"/>
      <c r="N10" s="6"/>
      <c r="O10" s="2">
        <v>50</v>
      </c>
      <c r="P10" s="2">
        <v>3.5</v>
      </c>
      <c r="Q10" s="2">
        <f t="shared" si="2"/>
        <v>175</v>
      </c>
      <c r="R10" s="2">
        <v>150</v>
      </c>
      <c r="S10" s="2"/>
    </row>
    <row r="11" spans="1:19" ht="42.75" x14ac:dyDescent="0.15">
      <c r="A11" s="29"/>
      <c r="B11" s="12" t="s">
        <v>42</v>
      </c>
      <c r="C11" s="16" t="s">
        <v>23</v>
      </c>
      <c r="D11" s="16">
        <f t="shared" ref="D11" si="4">Q11*R11/10000</f>
        <v>3.6</v>
      </c>
      <c r="E11" s="16">
        <f t="shared" si="0"/>
        <v>3.6</v>
      </c>
      <c r="F11" s="16"/>
      <c r="G11" s="16" t="s">
        <v>65</v>
      </c>
      <c r="H11" s="6"/>
      <c r="I11" s="6"/>
      <c r="J11" s="6"/>
      <c r="K11" s="6"/>
      <c r="L11" s="6"/>
      <c r="M11" s="6"/>
      <c r="N11" s="6"/>
      <c r="O11" s="2">
        <v>80</v>
      </c>
      <c r="P11" s="2">
        <v>3</v>
      </c>
      <c r="Q11" s="2">
        <f t="shared" si="2"/>
        <v>240</v>
      </c>
      <c r="R11" s="2">
        <v>150</v>
      </c>
      <c r="S11" s="2"/>
    </row>
    <row r="12" spans="1:19" ht="42.75" x14ac:dyDescent="0.15">
      <c r="A12" s="29"/>
      <c r="B12" s="12" t="s">
        <v>43</v>
      </c>
      <c r="C12" s="16" t="s">
        <v>23</v>
      </c>
      <c r="D12" s="16">
        <f>Q12*R12/10000</f>
        <v>9.4499999999999993</v>
      </c>
      <c r="E12" s="16">
        <f t="shared" ref="E12:E13" si="5">D12</f>
        <v>9.4499999999999993</v>
      </c>
      <c r="F12" s="16"/>
      <c r="G12" s="16" t="s">
        <v>65</v>
      </c>
      <c r="H12" s="6"/>
      <c r="I12" s="6"/>
      <c r="J12" s="6"/>
      <c r="K12" s="6"/>
      <c r="L12" s="6"/>
      <c r="M12" s="6"/>
      <c r="N12" s="6"/>
      <c r="O12" s="2">
        <v>210</v>
      </c>
      <c r="P12" s="2">
        <v>3</v>
      </c>
      <c r="Q12" s="2">
        <f t="shared" ref="Q12:Q13" si="6">O12*P12</f>
        <v>630</v>
      </c>
      <c r="R12" s="2">
        <v>150</v>
      </c>
      <c r="S12" s="2"/>
    </row>
    <row r="13" spans="1:19" ht="42.75" x14ac:dyDescent="0.15">
      <c r="A13" s="30"/>
      <c r="B13" s="12" t="s">
        <v>44</v>
      </c>
      <c r="C13" s="16" t="s">
        <v>23</v>
      </c>
      <c r="D13" s="18">
        <f>Q13*R13/10000</f>
        <v>10.5</v>
      </c>
      <c r="E13" s="18">
        <f t="shared" si="5"/>
        <v>10.5</v>
      </c>
      <c r="F13" s="16"/>
      <c r="G13" s="16" t="s">
        <v>65</v>
      </c>
      <c r="H13" s="6"/>
      <c r="I13" s="6"/>
      <c r="J13" s="6"/>
      <c r="K13" s="6"/>
      <c r="L13" s="6"/>
      <c r="M13" s="6"/>
      <c r="N13" s="6"/>
      <c r="O13" s="2">
        <v>150</v>
      </c>
      <c r="P13" s="2">
        <v>3.5</v>
      </c>
      <c r="Q13" s="2">
        <f t="shared" si="6"/>
        <v>525</v>
      </c>
      <c r="R13" s="2">
        <v>200</v>
      </c>
      <c r="S13" s="2"/>
    </row>
    <row r="14" spans="1:19" ht="28.5" x14ac:dyDescent="0.15">
      <c r="A14" s="21" t="s">
        <v>17</v>
      </c>
      <c r="B14" s="12" t="s">
        <v>30</v>
      </c>
      <c r="C14" s="16" t="s">
        <v>10</v>
      </c>
      <c r="D14" s="16">
        <v>15</v>
      </c>
      <c r="E14" s="16">
        <f t="shared" si="0"/>
        <v>15</v>
      </c>
      <c r="F14" s="16"/>
      <c r="G14" s="16" t="s">
        <v>65</v>
      </c>
      <c r="H14" s="10"/>
      <c r="I14" s="10"/>
      <c r="J14" s="10"/>
      <c r="K14" s="10"/>
      <c r="L14" s="10"/>
      <c r="M14" s="10"/>
      <c r="N14" s="10"/>
      <c r="O14" s="2"/>
      <c r="P14" s="2"/>
      <c r="Q14" s="2"/>
      <c r="R14" s="2"/>
      <c r="S14" s="2"/>
    </row>
    <row r="15" spans="1:19" s="4" customFormat="1" ht="28.5" x14ac:dyDescent="0.15">
      <c r="A15" s="21"/>
      <c r="B15" s="12" t="s">
        <v>45</v>
      </c>
      <c r="C15" s="16" t="s">
        <v>10</v>
      </c>
      <c r="D15" s="16">
        <f>0.01*2700</f>
        <v>27</v>
      </c>
      <c r="E15" s="16">
        <f t="shared" si="0"/>
        <v>27</v>
      </c>
      <c r="F15" s="16"/>
      <c r="G15" s="16" t="s">
        <v>65</v>
      </c>
      <c r="H15" s="10"/>
      <c r="I15" s="10"/>
      <c r="J15" s="10"/>
      <c r="K15" s="10"/>
      <c r="L15" s="10"/>
      <c r="M15" s="10"/>
      <c r="N15" s="10"/>
      <c r="O15" s="4">
        <f>O6+O7+O10+O13</f>
        <v>640</v>
      </c>
      <c r="P15" s="4">
        <v>2000</v>
      </c>
      <c r="Q15" s="4">
        <f>O15+P15</f>
        <v>2640</v>
      </c>
    </row>
    <row r="16" spans="1:19" x14ac:dyDescent="0.15">
      <c r="A16" s="21"/>
      <c r="B16" s="12" t="s">
        <v>35</v>
      </c>
      <c r="C16" s="16" t="s">
        <v>10</v>
      </c>
      <c r="D16" s="16">
        <f>0.005*P16</f>
        <v>3</v>
      </c>
      <c r="E16" s="13"/>
      <c r="F16" s="16">
        <f>D16</f>
        <v>3</v>
      </c>
      <c r="G16" s="16" t="s">
        <v>65</v>
      </c>
      <c r="H16" s="10"/>
      <c r="I16" s="10"/>
      <c r="J16" s="10"/>
      <c r="K16" s="10"/>
      <c r="L16" s="10"/>
      <c r="M16" s="10"/>
      <c r="N16" s="10"/>
      <c r="O16" s="2">
        <f>P2*9</f>
        <v>522</v>
      </c>
      <c r="P16" s="2">
        <v>600</v>
      </c>
      <c r="Q16" s="2"/>
      <c r="R16" s="2"/>
      <c r="S16" s="2"/>
    </row>
    <row r="17" spans="1:19" ht="47.25" x14ac:dyDescent="0.15">
      <c r="A17" s="21" t="s">
        <v>25</v>
      </c>
      <c r="B17" s="19" t="s">
        <v>60</v>
      </c>
      <c r="C17" s="16" t="s">
        <v>18</v>
      </c>
      <c r="D17" s="17">
        <f>O17*360/10000</f>
        <v>79.2</v>
      </c>
      <c r="E17" s="17">
        <f>D17</f>
        <v>79.2</v>
      </c>
      <c r="F17" s="16"/>
      <c r="G17" s="16" t="s">
        <v>65</v>
      </c>
      <c r="H17" s="6"/>
      <c r="I17" s="6"/>
      <c r="J17" s="6"/>
      <c r="K17" s="6"/>
      <c r="L17" s="6"/>
      <c r="M17" s="6"/>
      <c r="N17" s="6"/>
      <c r="O17" s="2">
        <v>2200</v>
      </c>
      <c r="P17" s="2"/>
      <c r="Q17" s="2"/>
      <c r="R17" s="2"/>
      <c r="S17" s="2"/>
    </row>
    <row r="18" spans="1:19" ht="28.5" x14ac:dyDescent="0.15">
      <c r="A18" s="21"/>
      <c r="B18" s="19" t="s">
        <v>32</v>
      </c>
      <c r="C18" s="16" t="s">
        <v>18</v>
      </c>
      <c r="D18" s="16">
        <f>P18*120/10000</f>
        <v>6</v>
      </c>
      <c r="E18" s="16">
        <f>D18</f>
        <v>6</v>
      </c>
      <c r="F18" s="16"/>
      <c r="G18" s="16" t="s">
        <v>22</v>
      </c>
      <c r="H18" s="11"/>
      <c r="I18" s="11"/>
      <c r="J18" s="11"/>
      <c r="K18" s="11"/>
      <c r="L18" s="11"/>
      <c r="M18" s="11"/>
      <c r="N18" s="11"/>
      <c r="O18" s="2">
        <f>P2*8</f>
        <v>464</v>
      </c>
      <c r="P18" s="2">
        <v>500</v>
      </c>
      <c r="Q18" s="2"/>
      <c r="R18" s="2"/>
      <c r="S18" s="2"/>
    </row>
    <row r="19" spans="1:19" ht="28.5" x14ac:dyDescent="0.15">
      <c r="A19" s="21"/>
      <c r="B19" s="19" t="s">
        <v>27</v>
      </c>
      <c r="C19" s="16" t="s">
        <v>18</v>
      </c>
      <c r="D19" s="16">
        <v>30</v>
      </c>
      <c r="E19" s="16">
        <f>D19</f>
        <v>30</v>
      </c>
      <c r="F19" s="16"/>
      <c r="G19" s="16" t="s">
        <v>65</v>
      </c>
      <c r="H19" s="6"/>
      <c r="I19" s="6"/>
      <c r="J19" s="6"/>
      <c r="K19" s="6"/>
      <c r="L19" s="6"/>
      <c r="M19" s="6"/>
      <c r="N19" s="6"/>
      <c r="O19" s="2"/>
      <c r="P19" s="2"/>
      <c r="Q19" s="2"/>
      <c r="R19" s="2"/>
      <c r="S19" s="2"/>
    </row>
    <row r="20" spans="1:19" ht="54.75" customHeight="1" x14ac:dyDescent="0.15">
      <c r="A20" s="21" t="s">
        <v>24</v>
      </c>
      <c r="B20" s="19" t="s">
        <v>33</v>
      </c>
      <c r="C20" s="16" t="s">
        <v>18</v>
      </c>
      <c r="D20" s="16">
        <v>1.2</v>
      </c>
      <c r="E20" s="16">
        <f>D20</f>
        <v>1.2</v>
      </c>
      <c r="F20" s="16"/>
      <c r="G20" s="16" t="s">
        <v>65</v>
      </c>
      <c r="H20" s="6"/>
      <c r="I20" s="6"/>
      <c r="J20" s="6"/>
      <c r="K20" s="6"/>
      <c r="L20" s="6"/>
      <c r="M20" s="6"/>
      <c r="N20" s="6"/>
      <c r="O20" s="2"/>
      <c r="P20" s="2"/>
      <c r="Q20" s="2"/>
      <c r="R20" s="2"/>
      <c r="S20" s="2"/>
    </row>
    <row r="21" spans="1:19" ht="28.5" x14ac:dyDescent="0.15">
      <c r="A21" s="21"/>
      <c r="B21" s="12" t="s">
        <v>31</v>
      </c>
      <c r="C21" s="16" t="s">
        <v>18</v>
      </c>
      <c r="D21" s="16">
        <v>15</v>
      </c>
      <c r="E21" s="16">
        <f>D21</f>
        <v>15</v>
      </c>
      <c r="F21" s="16"/>
      <c r="G21" s="16" t="s">
        <v>65</v>
      </c>
      <c r="H21" s="6"/>
      <c r="I21" s="6"/>
      <c r="J21" s="6"/>
      <c r="K21" s="6"/>
      <c r="L21" s="6"/>
      <c r="M21" s="6"/>
      <c r="N21" s="6"/>
      <c r="O21" s="2"/>
      <c r="P21" s="2"/>
      <c r="Q21" s="2"/>
      <c r="R21" s="2"/>
      <c r="S21" s="2"/>
    </row>
    <row r="22" spans="1:19" ht="28.5" x14ac:dyDescent="0.15">
      <c r="A22" s="21" t="s">
        <v>36</v>
      </c>
      <c r="B22" s="12" t="s">
        <v>47</v>
      </c>
      <c r="C22" s="16" t="s">
        <v>18</v>
      </c>
      <c r="D22" s="16">
        <f>108*2000/10000</f>
        <v>21.6</v>
      </c>
      <c r="E22" s="16">
        <f t="shared" ref="E22" si="7">D22</f>
        <v>21.6</v>
      </c>
      <c r="F22" s="16"/>
      <c r="G22" s="16"/>
      <c r="H22" s="6"/>
      <c r="I22" s="6"/>
      <c r="J22" s="6"/>
      <c r="K22" s="6"/>
      <c r="L22" s="6"/>
      <c r="M22" s="6"/>
      <c r="N22" s="6"/>
      <c r="O22" s="2"/>
      <c r="P22" s="2"/>
      <c r="Q22" s="2"/>
      <c r="R22" s="2"/>
      <c r="S22" s="2"/>
    </row>
    <row r="23" spans="1:19" ht="28.5" x14ac:dyDescent="0.15">
      <c r="A23" s="21"/>
      <c r="B23" s="12" t="s">
        <v>48</v>
      </c>
      <c r="C23" s="16" t="s">
        <v>18</v>
      </c>
      <c r="D23" s="16">
        <f>500*150/10000</f>
        <v>7.5</v>
      </c>
      <c r="E23" s="16">
        <f t="shared" ref="E23" si="8">D23</f>
        <v>7.5</v>
      </c>
      <c r="F23" s="16"/>
      <c r="G23" s="16" t="s">
        <v>65</v>
      </c>
      <c r="H23" s="6"/>
      <c r="I23" s="6"/>
      <c r="J23" s="6"/>
      <c r="K23" s="6"/>
      <c r="L23" s="6"/>
      <c r="M23" s="6"/>
      <c r="N23" s="6"/>
      <c r="O23" s="2"/>
      <c r="P23" s="2"/>
      <c r="Q23" s="2"/>
      <c r="R23" s="2"/>
      <c r="S23" s="2"/>
    </row>
    <row r="24" spans="1:19" ht="28.5" x14ac:dyDescent="0.15">
      <c r="A24" s="21"/>
      <c r="B24" s="20" t="s">
        <v>46</v>
      </c>
      <c r="C24" s="16" t="s">
        <v>18</v>
      </c>
      <c r="D24" s="16">
        <f>400*200/10000</f>
        <v>8</v>
      </c>
      <c r="E24" s="16">
        <f t="shared" ref="E24" si="9">D24</f>
        <v>8</v>
      </c>
      <c r="F24" s="16"/>
      <c r="G24" s="16" t="s">
        <v>65</v>
      </c>
      <c r="H24" s="6"/>
      <c r="I24" s="6"/>
      <c r="J24" s="6"/>
      <c r="K24" s="6"/>
      <c r="L24" s="6"/>
      <c r="M24" s="6"/>
      <c r="N24" s="6"/>
      <c r="O24" s="2"/>
      <c r="P24" s="2"/>
      <c r="Q24" s="2"/>
      <c r="R24" s="2"/>
      <c r="S24" s="2"/>
    </row>
    <row r="25" spans="1:19" ht="31.5" x14ac:dyDescent="0.15">
      <c r="A25" s="21" t="s">
        <v>13</v>
      </c>
      <c r="B25" s="19" t="s">
        <v>61</v>
      </c>
      <c r="C25" s="16" t="s">
        <v>18</v>
      </c>
      <c r="D25" s="16">
        <v>4</v>
      </c>
      <c r="E25" s="16">
        <f>D25</f>
        <v>4</v>
      </c>
      <c r="F25" s="16"/>
      <c r="G25" s="16" t="s">
        <v>65</v>
      </c>
      <c r="H25" s="6"/>
      <c r="I25" s="6"/>
      <c r="J25" s="6"/>
      <c r="K25" s="6"/>
      <c r="L25" s="6"/>
      <c r="M25" s="6"/>
      <c r="N25" s="6"/>
      <c r="O25" s="2"/>
      <c r="P25" s="2"/>
      <c r="Q25" s="2"/>
      <c r="R25" s="2"/>
      <c r="S25" s="2"/>
    </row>
    <row r="26" spans="1:19" ht="31.5" x14ac:dyDescent="0.15">
      <c r="A26" s="21"/>
      <c r="B26" s="19" t="s">
        <v>62</v>
      </c>
      <c r="C26" s="16" t="s">
        <v>18</v>
      </c>
      <c r="D26" s="16">
        <v>32</v>
      </c>
      <c r="E26" s="16">
        <f t="shared" ref="E26:E28" si="10">D26</f>
        <v>32</v>
      </c>
      <c r="F26" s="16"/>
      <c r="G26" s="16" t="s">
        <v>65</v>
      </c>
      <c r="H26" s="6"/>
      <c r="I26" s="6"/>
      <c r="J26" s="6"/>
      <c r="K26" s="6"/>
      <c r="L26" s="6"/>
      <c r="M26" s="6"/>
      <c r="N26" s="6"/>
      <c r="O26" s="2"/>
      <c r="P26" s="2"/>
      <c r="Q26" s="2"/>
      <c r="R26" s="2"/>
      <c r="S26" s="2"/>
    </row>
    <row r="27" spans="1:19" ht="31.5" x14ac:dyDescent="0.15">
      <c r="A27" s="21"/>
      <c r="B27" s="19" t="s">
        <v>63</v>
      </c>
      <c r="C27" s="16" t="s">
        <v>18</v>
      </c>
      <c r="D27" s="16">
        <v>4</v>
      </c>
      <c r="E27" s="16">
        <f t="shared" si="10"/>
        <v>4</v>
      </c>
      <c r="F27" s="16"/>
      <c r="G27" s="16" t="s">
        <v>65</v>
      </c>
      <c r="H27" s="6"/>
      <c r="I27" s="6"/>
      <c r="J27" s="6"/>
      <c r="K27" s="6"/>
      <c r="L27" s="6"/>
      <c r="M27" s="6"/>
      <c r="N27" s="6"/>
      <c r="O27" s="2">
        <f>103+203+110</f>
        <v>416</v>
      </c>
      <c r="P27" s="2"/>
      <c r="Q27" s="2"/>
      <c r="R27" s="2"/>
      <c r="S27" s="2"/>
    </row>
    <row r="28" spans="1:19" ht="28.5" x14ac:dyDescent="0.15">
      <c r="A28" s="14" t="s">
        <v>12</v>
      </c>
      <c r="B28" s="12" t="s">
        <v>49</v>
      </c>
      <c r="C28" s="16" t="s">
        <v>18</v>
      </c>
      <c r="D28" s="16">
        <f>95*0.6</f>
        <v>57</v>
      </c>
      <c r="E28" s="16">
        <f t="shared" si="10"/>
        <v>57</v>
      </c>
      <c r="F28" s="16"/>
      <c r="G28" s="16" t="s">
        <v>65</v>
      </c>
      <c r="H28" s="6"/>
      <c r="I28" s="6"/>
      <c r="J28" s="6"/>
      <c r="K28" s="6"/>
      <c r="L28" s="6"/>
      <c r="M28" s="6"/>
      <c r="N28" s="6"/>
      <c r="P28" s="2"/>
      <c r="Q28" s="2"/>
      <c r="R28" s="2"/>
      <c r="S28" s="2"/>
    </row>
    <row r="29" spans="1:19" ht="28.5" x14ac:dyDescent="0.15">
      <c r="A29" s="14" t="s">
        <v>11</v>
      </c>
      <c r="B29" s="12" t="s">
        <v>50</v>
      </c>
      <c r="C29" s="16" t="s">
        <v>10</v>
      </c>
      <c r="D29" s="16">
        <f>P2*2.5</f>
        <v>145</v>
      </c>
      <c r="E29" s="16">
        <f>P2*0.6</f>
        <v>34.799999999999997</v>
      </c>
      <c r="F29" s="16">
        <f>D29-E29</f>
        <v>110.2</v>
      </c>
      <c r="G29" s="16" t="s">
        <v>65</v>
      </c>
      <c r="H29" s="6"/>
      <c r="I29" s="6"/>
      <c r="J29" s="6"/>
      <c r="K29" s="6"/>
      <c r="L29" s="6"/>
      <c r="M29" s="6"/>
      <c r="N29" s="6"/>
      <c r="P29" s="2"/>
      <c r="Q29" s="2"/>
      <c r="R29" s="2"/>
      <c r="S29" s="2"/>
    </row>
    <row r="30" spans="1:19" ht="55.5" customHeight="1" x14ac:dyDescent="0.15">
      <c r="A30" s="21" t="s">
        <v>14</v>
      </c>
      <c r="B30" s="12" t="s">
        <v>51</v>
      </c>
      <c r="C30" s="16" t="s">
        <v>10</v>
      </c>
      <c r="D30" s="16">
        <f>400*1300/10000</f>
        <v>52</v>
      </c>
      <c r="E30" s="16">
        <f t="shared" ref="E30:E37" si="11">D30</f>
        <v>52</v>
      </c>
      <c r="F30" s="16"/>
      <c r="G30" s="16" t="s">
        <v>9</v>
      </c>
      <c r="H30" s="10"/>
      <c r="I30" s="10"/>
      <c r="J30" s="10"/>
      <c r="K30" s="10"/>
      <c r="L30" s="10"/>
      <c r="M30" s="10"/>
      <c r="N30" s="10"/>
      <c r="P30" s="2"/>
      <c r="Q30" s="2"/>
      <c r="R30" s="2"/>
      <c r="S30" s="2"/>
    </row>
    <row r="31" spans="1:19" ht="42.75" x14ac:dyDescent="0.15">
      <c r="A31" s="21"/>
      <c r="B31" s="12" t="s">
        <v>52</v>
      </c>
      <c r="C31" s="16" t="s">
        <v>10</v>
      </c>
      <c r="D31" s="16">
        <f>700*1500/10000</f>
        <v>105</v>
      </c>
      <c r="E31" s="16">
        <f t="shared" si="11"/>
        <v>105</v>
      </c>
      <c r="F31" s="16"/>
      <c r="G31" s="16" t="s">
        <v>9</v>
      </c>
      <c r="H31" s="10"/>
      <c r="I31" s="10"/>
      <c r="J31" s="10"/>
      <c r="K31" s="10"/>
      <c r="L31" s="10"/>
      <c r="M31" s="10"/>
      <c r="N31" s="10"/>
      <c r="P31" s="2"/>
      <c r="Q31" s="2"/>
      <c r="R31" s="2"/>
      <c r="S31" s="2"/>
    </row>
    <row r="32" spans="1:19" ht="42.75" x14ac:dyDescent="0.15">
      <c r="A32" s="21"/>
      <c r="B32" s="12" t="s">
        <v>53</v>
      </c>
      <c r="C32" s="16" t="s">
        <v>10</v>
      </c>
      <c r="D32" s="16">
        <f>600*2000/10000</f>
        <v>120</v>
      </c>
      <c r="E32" s="16">
        <f t="shared" ref="E32" si="12">D32</f>
        <v>120</v>
      </c>
      <c r="F32" s="16"/>
      <c r="G32" s="16" t="s">
        <v>9</v>
      </c>
      <c r="H32" s="10"/>
      <c r="I32" s="10"/>
      <c r="J32" s="10"/>
      <c r="K32" s="10"/>
      <c r="L32" s="10"/>
      <c r="M32" s="10"/>
      <c r="N32" s="10"/>
      <c r="O32">
        <f>90*16</f>
        <v>1440</v>
      </c>
      <c r="P32" s="2"/>
      <c r="Q32" s="2"/>
      <c r="R32" s="2"/>
      <c r="S32" s="2"/>
    </row>
    <row r="33" spans="1:19" ht="42.75" x14ac:dyDescent="0.15">
      <c r="A33" s="21"/>
      <c r="B33" s="12" t="s">
        <v>54</v>
      </c>
      <c r="C33" s="16" t="s">
        <v>10</v>
      </c>
      <c r="D33" s="16">
        <f>300*1300/10000</f>
        <v>39</v>
      </c>
      <c r="E33" s="16">
        <f t="shared" ref="E33" si="13">D33</f>
        <v>39</v>
      </c>
      <c r="F33" s="16"/>
      <c r="G33" s="16" t="s">
        <v>9</v>
      </c>
      <c r="H33" s="10"/>
      <c r="I33" s="10"/>
      <c r="J33" s="10"/>
      <c r="K33" s="10"/>
      <c r="L33" s="10"/>
      <c r="M33" s="10"/>
      <c r="N33" s="10"/>
      <c r="P33" s="2"/>
      <c r="Q33" s="2"/>
      <c r="R33" s="2"/>
      <c r="S33" s="2"/>
    </row>
    <row r="34" spans="1:19" ht="42.75" x14ac:dyDescent="0.15">
      <c r="A34" s="21"/>
      <c r="B34" s="12" t="s">
        <v>55</v>
      </c>
      <c r="C34" s="16" t="s">
        <v>10</v>
      </c>
      <c r="D34" s="16">
        <f>450*1000/10000</f>
        <v>45</v>
      </c>
      <c r="E34" s="16">
        <f t="shared" ref="E34" si="14">D34</f>
        <v>45</v>
      </c>
      <c r="F34" s="16"/>
      <c r="G34" s="16" t="s">
        <v>9</v>
      </c>
      <c r="H34" s="10"/>
      <c r="I34" s="10"/>
      <c r="J34" s="10"/>
      <c r="K34" s="10"/>
      <c r="L34" s="10"/>
      <c r="M34" s="10"/>
      <c r="N34" s="10"/>
      <c r="P34" s="2"/>
      <c r="Q34" s="2"/>
      <c r="R34" s="2"/>
      <c r="S34" s="2"/>
    </row>
    <row r="35" spans="1:19" ht="28.5" x14ac:dyDescent="0.15">
      <c r="A35" s="21"/>
      <c r="B35" s="12" t="s">
        <v>56</v>
      </c>
      <c r="C35" s="16" t="s">
        <v>10</v>
      </c>
      <c r="D35" s="16">
        <f>8*30</f>
        <v>240</v>
      </c>
      <c r="E35" s="16">
        <f t="shared" si="11"/>
        <v>240</v>
      </c>
      <c r="F35" s="16"/>
      <c r="G35" s="16" t="s">
        <v>65</v>
      </c>
      <c r="H35" s="6"/>
      <c r="I35" s="6"/>
      <c r="J35" s="6"/>
      <c r="K35" s="6"/>
      <c r="L35" s="6"/>
      <c r="M35" s="6"/>
      <c r="N35" s="6"/>
      <c r="P35" s="2"/>
      <c r="Q35" s="2"/>
      <c r="R35" s="2"/>
      <c r="S35" s="2"/>
    </row>
    <row r="36" spans="1:19" ht="51" customHeight="1" x14ac:dyDescent="0.15">
      <c r="A36" s="21"/>
      <c r="B36" s="12" t="s">
        <v>57</v>
      </c>
      <c r="C36" s="16" t="s">
        <v>18</v>
      </c>
      <c r="D36" s="16">
        <v>50</v>
      </c>
      <c r="E36" s="16">
        <f t="shared" si="11"/>
        <v>50</v>
      </c>
      <c r="F36" s="16"/>
      <c r="G36" s="16" t="s">
        <v>65</v>
      </c>
      <c r="H36" s="6"/>
      <c r="I36" s="6"/>
      <c r="J36" s="6"/>
      <c r="K36" s="6"/>
      <c r="L36" s="6"/>
      <c r="M36" s="6"/>
      <c r="N36" s="6"/>
      <c r="O36" s="2"/>
      <c r="P36" s="2"/>
      <c r="Q36" s="2"/>
      <c r="R36" s="2"/>
      <c r="S36" s="2"/>
    </row>
    <row r="37" spans="1:19" ht="42.75" x14ac:dyDescent="0.15">
      <c r="A37" s="21" t="s">
        <v>15</v>
      </c>
      <c r="B37" s="12" t="s">
        <v>59</v>
      </c>
      <c r="C37" s="16" t="s">
        <v>18</v>
      </c>
      <c r="D37" s="16">
        <f>750*1000/10000</f>
        <v>75</v>
      </c>
      <c r="E37" s="16">
        <f t="shared" si="11"/>
        <v>75</v>
      </c>
      <c r="F37" s="16"/>
      <c r="G37" s="16" t="s">
        <v>9</v>
      </c>
      <c r="H37" s="10"/>
      <c r="I37" s="10"/>
      <c r="J37" s="10"/>
      <c r="K37" s="10"/>
      <c r="L37" s="10"/>
      <c r="M37" s="10"/>
      <c r="N37" s="10"/>
      <c r="O37" s="2">
        <f>O17/3</f>
        <v>733.33333333333337</v>
      </c>
      <c r="P37" s="2"/>
      <c r="Q37" s="2"/>
      <c r="R37" s="2"/>
      <c r="S37" s="2"/>
    </row>
    <row r="38" spans="1:19" ht="28.5" x14ac:dyDescent="0.15">
      <c r="A38" s="21"/>
      <c r="B38" s="12" t="s">
        <v>58</v>
      </c>
      <c r="C38" s="16" t="s">
        <v>18</v>
      </c>
      <c r="D38" s="16">
        <f>O38*200/10000</f>
        <v>5.8</v>
      </c>
      <c r="E38" s="16"/>
      <c r="F38" s="16">
        <f>D38</f>
        <v>5.8</v>
      </c>
      <c r="G38" s="16" t="s">
        <v>9</v>
      </c>
      <c r="H38" s="10"/>
      <c r="I38" s="10"/>
      <c r="J38" s="10"/>
      <c r="K38" s="10"/>
      <c r="L38" s="10"/>
      <c r="M38" s="10"/>
      <c r="N38" s="10"/>
      <c r="O38">
        <f>P2*5</f>
        <v>290</v>
      </c>
      <c r="P38" s="2"/>
      <c r="Q38" s="2"/>
      <c r="R38" s="2"/>
      <c r="S38" s="2"/>
    </row>
    <row r="39" spans="1:19" ht="28.5" x14ac:dyDescent="0.15">
      <c r="A39" s="14" t="s">
        <v>16</v>
      </c>
      <c r="B39" s="12" t="s">
        <v>34</v>
      </c>
      <c r="C39" s="16" t="s">
        <v>10</v>
      </c>
      <c r="D39" s="16"/>
      <c r="E39" s="16"/>
      <c r="F39" s="16"/>
      <c r="G39" s="16" t="s">
        <v>9</v>
      </c>
      <c r="H39" s="10"/>
      <c r="I39" s="10"/>
      <c r="J39" s="10"/>
      <c r="K39" s="10"/>
      <c r="L39" s="10"/>
      <c r="M39" s="10"/>
      <c r="N39" s="10"/>
      <c r="O39">
        <v>2705</v>
      </c>
      <c r="P39" s="7"/>
      <c r="Q39" s="7"/>
      <c r="R39">
        <f>(O39+P39+Q39)/667</f>
        <v>4.055472263868066</v>
      </c>
    </row>
    <row r="40" spans="1:19" x14ac:dyDescent="0.15">
      <c r="A40" s="15" t="s">
        <v>4</v>
      </c>
      <c r="B40" s="12"/>
      <c r="C40" s="16"/>
      <c r="D40" s="18">
        <f>SUM(D6:D39)</f>
        <v>1260.7249999999999</v>
      </c>
      <c r="E40" s="18">
        <f>SUM(E6:E39)</f>
        <v>1141.7249999999999</v>
      </c>
      <c r="F40" s="18">
        <f>SUM(F6:F39)</f>
        <v>119</v>
      </c>
      <c r="G40" s="16"/>
      <c r="H40" s="10"/>
      <c r="I40" s="10"/>
      <c r="J40" s="10"/>
      <c r="K40" s="10"/>
      <c r="L40" s="10"/>
      <c r="M40" s="10"/>
      <c r="N40" s="10"/>
    </row>
  </sheetData>
  <mergeCells count="14">
    <mergeCell ref="A14:A16"/>
    <mergeCell ref="A30:A36"/>
    <mergeCell ref="A25:A27"/>
    <mergeCell ref="A37:A38"/>
    <mergeCell ref="A17:A19"/>
    <mergeCell ref="A20:A21"/>
    <mergeCell ref="A22:A24"/>
    <mergeCell ref="G3:G5"/>
    <mergeCell ref="A1:G2"/>
    <mergeCell ref="A6:A13"/>
    <mergeCell ref="D3:F3"/>
    <mergeCell ref="D4:D5"/>
    <mergeCell ref="C3:C5"/>
    <mergeCell ref="A3:B5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林晓锋</cp:lastModifiedBy>
  <dcterms:created xsi:type="dcterms:W3CDTF">2019-03-09T10:25:00Z</dcterms:created>
  <dcterms:modified xsi:type="dcterms:W3CDTF">2019-05-17T05:00:35Z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